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en\Downloads\"/>
    </mc:Choice>
  </mc:AlternateContent>
  <xr:revisionPtr revIDLastSave="0" documentId="13_ncr:1_{0533E9D3-E6BD-4592-839F-D2CF8AA125B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2" r:id="rId1"/>
    <sheet name="Schedules" sheetId="8" r:id="rId2"/>
    <sheet name="Sheet1" sheetId="9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8" l="1"/>
  <c r="T28" i="8"/>
  <c r="S28" i="8"/>
  <c r="R28" i="8"/>
  <c r="Q28" i="8"/>
  <c r="N30" i="8"/>
  <c r="P28" i="8"/>
  <c r="O28" i="8"/>
  <c r="N28" i="8"/>
  <c r="M28" i="8"/>
  <c r="L28" i="8"/>
  <c r="K28" i="8"/>
  <c r="U26" i="8"/>
  <c r="T26" i="8"/>
  <c r="S26" i="8"/>
  <c r="R26" i="8"/>
  <c r="Q26" i="8"/>
  <c r="P26" i="8"/>
  <c r="O26" i="8"/>
  <c r="N26" i="8"/>
  <c r="M26" i="8"/>
  <c r="L26" i="8"/>
  <c r="K26" i="8"/>
  <c r="I28" i="8"/>
  <c r="H28" i="8"/>
  <c r="G28" i="8"/>
  <c r="F28" i="8"/>
  <c r="E28" i="8"/>
  <c r="D28" i="8"/>
  <c r="D27" i="8"/>
  <c r="C28" i="8"/>
  <c r="B28" i="8"/>
  <c r="B27" i="8"/>
  <c r="I26" i="8"/>
  <c r="H26" i="8"/>
  <c r="G26" i="8"/>
  <c r="F26" i="8"/>
  <c r="E26" i="8"/>
  <c r="D26" i="8"/>
  <c r="C26" i="8"/>
  <c r="B26" i="8"/>
  <c r="I25" i="8"/>
  <c r="H25" i="8"/>
  <c r="E25" i="8"/>
  <c r="I19" i="8"/>
  <c r="I17" i="8"/>
  <c r="H19" i="8"/>
  <c r="B17" i="8"/>
  <c r="U15" i="8"/>
  <c r="O3" i="8"/>
  <c r="O30" i="8"/>
  <c r="M30" i="8"/>
  <c r="L30" i="8"/>
  <c r="K30" i="8"/>
  <c r="I30" i="8"/>
  <c r="H31" i="8" l="1"/>
  <c r="N3" i="8"/>
  <c r="L3" i="8"/>
  <c r="M3" i="8"/>
  <c r="K3" i="8"/>
  <c r="P9" i="8" l="1"/>
  <c r="Q9" i="8" s="1"/>
  <c r="R9" i="8" s="1"/>
  <c r="S9" i="8" s="1"/>
  <c r="T9" i="8" s="1"/>
  <c r="P11" i="8"/>
  <c r="Q11" i="8" s="1"/>
  <c r="R11" i="8" s="1"/>
  <c r="S11" i="8" s="1"/>
  <c r="T11" i="8" s="1"/>
  <c r="P10" i="8"/>
  <c r="Q10" i="8" s="1"/>
  <c r="R10" i="8" s="1"/>
  <c r="S10" i="8" s="1"/>
  <c r="T10" i="8" s="1"/>
  <c r="P6" i="8"/>
  <c r="Q6" i="8" s="1"/>
  <c r="R6" i="8" s="1"/>
  <c r="S6" i="8" s="1"/>
  <c r="T6" i="8" s="1"/>
  <c r="P4" i="8"/>
  <c r="O23" i="8"/>
  <c r="N23" i="8"/>
  <c r="M23" i="8"/>
  <c r="L23" i="8"/>
  <c r="K23" i="8"/>
  <c r="M15" i="8"/>
  <c r="N15" i="8" s="1"/>
  <c r="H30" i="8"/>
  <c r="G30" i="8"/>
  <c r="F30" i="8"/>
  <c r="E30" i="8"/>
  <c r="D30" i="8"/>
  <c r="C30" i="8"/>
  <c r="B30" i="8"/>
  <c r="O31" i="8"/>
  <c r="N31" i="8"/>
  <c r="M31" i="8"/>
  <c r="L31" i="8"/>
  <c r="K31" i="8"/>
  <c r="I31" i="8"/>
  <c r="G31" i="8"/>
  <c r="F31" i="8"/>
  <c r="E31" i="8"/>
  <c r="D31" i="8"/>
  <c r="C31" i="8"/>
  <c r="B31" i="8"/>
  <c r="Q4" i="8" l="1"/>
  <c r="N16" i="8"/>
  <c r="O15" i="8"/>
  <c r="P15" i="8" s="1"/>
  <c r="Q15" i="8" s="1"/>
  <c r="R15" i="8" s="1"/>
  <c r="S15" i="8" s="1"/>
  <c r="T15" i="8" s="1"/>
  <c r="R4" i="8" l="1"/>
  <c r="Q8" i="8"/>
  <c r="P8" i="8"/>
  <c r="O8" i="8"/>
  <c r="N8" i="8"/>
  <c r="M8" i="8"/>
  <c r="L8" i="8"/>
  <c r="K8" i="8"/>
  <c r="O7" i="8"/>
  <c r="P7" i="8" s="1"/>
  <c r="Q7" i="8" s="1"/>
  <c r="R7" i="8" s="1"/>
  <c r="S7" i="8" s="1"/>
  <c r="T7" i="8" s="1"/>
  <c r="N7" i="8"/>
  <c r="M7" i="8"/>
  <c r="L7" i="8"/>
  <c r="K7" i="8"/>
  <c r="O5" i="8"/>
  <c r="P5" i="8" s="1"/>
  <c r="Q5" i="8" s="1"/>
  <c r="R5" i="8" s="1"/>
  <c r="S5" i="8" s="1"/>
  <c r="T5" i="8" s="1"/>
  <c r="N5" i="8"/>
  <c r="M5" i="8"/>
  <c r="L5" i="8"/>
  <c r="K5" i="8"/>
  <c r="S4" i="8" l="1"/>
  <c r="R8" i="8"/>
  <c r="H17" i="8"/>
  <c r="G17" i="8"/>
  <c r="F17" i="8"/>
  <c r="E17" i="8"/>
  <c r="D17" i="8"/>
  <c r="G25" i="8"/>
  <c r="F25" i="8"/>
  <c r="D25" i="8"/>
  <c r="C25" i="8"/>
  <c r="B25" i="8"/>
  <c r="T4" i="8" l="1"/>
  <c r="T8" i="8" s="1"/>
  <c r="S8" i="8"/>
  <c r="M16" i="8"/>
  <c r="I9" i="8" l="1"/>
  <c r="H9" i="8"/>
  <c r="G9" i="8"/>
  <c r="F9" i="8"/>
  <c r="E9" i="8"/>
  <c r="D9" i="8"/>
  <c r="C9" i="8"/>
  <c r="C17" i="8" s="1"/>
  <c r="B9" i="8"/>
  <c r="K16" i="8" l="1"/>
  <c r="O16" i="8"/>
  <c r="L16" i="8"/>
  <c r="I8" i="8"/>
  <c r="H8" i="8"/>
  <c r="G8" i="8"/>
  <c r="F8" i="8"/>
  <c r="E8" i="8"/>
  <c r="D8" i="8"/>
  <c r="C8" i="8"/>
  <c r="B8" i="8"/>
  <c r="D19" i="8" l="1"/>
  <c r="C19" i="8"/>
  <c r="I16" i="8"/>
  <c r="H16" i="8"/>
  <c r="G16" i="8"/>
  <c r="F16" i="8"/>
  <c r="E16" i="8"/>
  <c r="D16" i="8"/>
  <c r="C16" i="8"/>
  <c r="B16" i="8"/>
  <c r="F19" i="8"/>
  <c r="G19" i="8"/>
  <c r="C1" i="8" l="1"/>
  <c r="D1" i="8" s="1"/>
  <c r="E1" i="8" s="1"/>
  <c r="F1" i="8" s="1"/>
  <c r="G1" i="8" s="1"/>
  <c r="H1" i="8" s="1"/>
  <c r="I1" i="8" s="1"/>
  <c r="K1" i="8" s="1"/>
  <c r="L1" i="8" s="1"/>
  <c r="M1" i="8" s="1"/>
  <c r="N1" i="8" s="1"/>
  <c r="O1" i="8" s="1"/>
  <c r="P1" i="8" s="1"/>
  <c r="Q1" i="8" s="1"/>
  <c r="R1" i="8" s="1"/>
  <c r="S1" i="8" s="1"/>
  <c r="T1" i="8" s="1"/>
</calcChain>
</file>

<file path=xl/sharedStrings.xml><?xml version="1.0" encoding="utf-8"?>
<sst xmlns="http://schemas.openxmlformats.org/spreadsheetml/2006/main" count="47" uniqueCount="44">
  <si>
    <t>Notes</t>
  </si>
  <si>
    <t>Instructions</t>
  </si>
  <si>
    <t>Terminal year</t>
  </si>
  <si>
    <t>Mulitples</t>
  </si>
  <si>
    <t>Average Share Price</t>
  </si>
  <si>
    <t>EV</t>
  </si>
  <si>
    <t>P/E</t>
  </si>
  <si>
    <t>P/BV</t>
  </si>
  <si>
    <t>EV/EBITDA</t>
  </si>
  <si>
    <t>EV/FCFF</t>
  </si>
  <si>
    <t>Debt/Equity</t>
  </si>
  <si>
    <t>Debt/Capital</t>
  </si>
  <si>
    <t>ROE</t>
  </si>
  <si>
    <t xml:space="preserve">FCFF in high growth phase </t>
  </si>
  <si>
    <t>Growth %</t>
  </si>
  <si>
    <t>Beta</t>
  </si>
  <si>
    <t>Cost of Equity</t>
  </si>
  <si>
    <t>Cost of Debt</t>
  </si>
  <si>
    <t>Debt Ratio</t>
  </si>
  <si>
    <t>WACC</t>
  </si>
  <si>
    <t xml:space="preserve">Value of the firm </t>
  </si>
  <si>
    <t xml:space="preserve">Value of Equity per Share </t>
  </si>
  <si>
    <t xml:space="preserve">Book Value of Debt </t>
  </si>
  <si>
    <t xml:space="preserve">Value of Equity </t>
  </si>
  <si>
    <t xml:space="preserve">Present Value of FCFF in high growth phase </t>
  </si>
  <si>
    <t xml:space="preserve">Present Value of Terminal Value of Firm </t>
  </si>
  <si>
    <t>Calculate from Income statement sheet</t>
  </si>
  <si>
    <t>Source from a financial website</t>
  </si>
  <si>
    <t>Present Values</t>
  </si>
  <si>
    <t>Calculate using below figures</t>
  </si>
  <si>
    <t>Submission time is 3 days from the day the task was given to you</t>
  </si>
  <si>
    <t>Follow the instructions on the Schedules sheet and complete the schedule</t>
  </si>
  <si>
    <t>CAPM</t>
  </si>
  <si>
    <t>https://www.treasury.gov/resource-center/data-chart-center/interest-rates/Pages/TextView.aspx?data=longtermrate</t>
  </si>
  <si>
    <t>Rf</t>
  </si>
  <si>
    <t>S&amp;P 500 index 1 year return (Source from a financial website)</t>
  </si>
  <si>
    <t>Rm</t>
  </si>
  <si>
    <t>Feel free to reach out, if you have any questions or issues related to the task.</t>
  </si>
  <si>
    <t>Calculate for periods from 2022 onwards</t>
  </si>
  <si>
    <t>NIKE, INC.
(Dollars and Shares in Millions Except Per Share Amounts)</t>
  </si>
  <si>
    <t>Copy this sheet to your finalized model from the previous task</t>
  </si>
  <si>
    <t>Obtain share prices at Yahoo Finance by filtering relevant financial year for monthly average shareprice and calculate the average of 12 months to obtain annual average share price</t>
  </si>
  <si>
    <t>https://finance.yahoo.com/quote/NKE/history?p=NKE</t>
  </si>
  <si>
    <t>Extend the FCFF to 2027, forecast FCFF based on historical growth trend for 2024-terminal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</si>
</sst>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00%"/>
    <numFmt numFmtId="169" formatCode="0.0000%"/>
    <numFmt numFmtId="170" formatCode="_-* #,##0_-;\-* #,##0_-;_-* &quot;-&quot;??_-;_-@_-"/>
    <numFmt numFmtId="171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Geneva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4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right"/>
    </xf>
    <xf numFmtId="0" fontId="2" fillId="3" borderId="0" xfId="0" applyFont="1" applyFill="1" applyAlignment="1">
      <alignment horizontal="center"/>
    </xf>
    <xf numFmtId="0" fontId="3" fillId="5" borderId="0" xfId="0" applyFont="1" applyFill="1" applyAlignment="1">
      <alignment horizontal="right"/>
    </xf>
    <xf numFmtId="0" fontId="6" fillId="0" borderId="0" xfId="0" applyFont="1"/>
    <xf numFmtId="10" fontId="6" fillId="0" borderId="0" xfId="1" applyNumberFormat="1" applyFont="1" applyBorder="1" applyAlignment="1">
      <alignment horizontal="right"/>
    </xf>
    <xf numFmtId="10" fontId="6" fillId="0" borderId="0" xfId="2" applyNumberFormat="1" applyFont="1" applyBorder="1"/>
    <xf numFmtId="10" fontId="5" fillId="0" borderId="0" xfId="2" applyNumberFormat="1" applyFont="1" applyBorder="1" applyAlignment="1">
      <alignment horizontal="left"/>
    </xf>
    <xf numFmtId="165" fontId="0" fillId="0" borderId="0" xfId="1" applyFont="1"/>
    <xf numFmtId="0" fontId="8" fillId="0" borderId="0" xfId="0" applyFont="1" applyAlignment="1">
      <alignment horizontal="left" wrapText="1"/>
    </xf>
    <xf numFmtId="0" fontId="3" fillId="5" borderId="0" xfId="0" applyFont="1" applyFill="1" applyAlignment="1">
      <alignment horizontal="right" wrapText="1"/>
    </xf>
    <xf numFmtId="0" fontId="0" fillId="6" borderId="0" xfId="0" applyFill="1"/>
    <xf numFmtId="165" fontId="0" fillId="0" borderId="0" xfId="0" applyNumberFormat="1"/>
    <xf numFmtId="0" fontId="6" fillId="4" borderId="0" xfId="0" applyFont="1" applyFill="1"/>
    <xf numFmtId="0" fontId="0" fillId="0" borderId="3" xfId="0" applyBorder="1"/>
    <xf numFmtId="0" fontId="0" fillId="0" borderId="5" xfId="0" applyBorder="1"/>
    <xf numFmtId="167" fontId="0" fillId="0" borderId="0" xfId="2" applyNumberFormat="1" applyFont="1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9" fillId="0" borderId="0" xfId="7" applyAlignment="1">
      <alignment horizontal="left" indent="1"/>
    </xf>
    <xf numFmtId="0" fontId="9" fillId="0" borderId="0" xfId="7" applyAlignment="1">
      <alignment horizontal="left" wrapText="1"/>
    </xf>
    <xf numFmtId="10" fontId="0" fillId="0" borderId="0" xfId="2" applyNumberFormat="1" applyFont="1"/>
    <xf numFmtId="10" fontId="0" fillId="0" borderId="0" xfId="2" applyNumberFormat="1" applyFont="1" applyFill="1"/>
    <xf numFmtId="168" fontId="0" fillId="0" borderId="0" xfId="2" applyNumberFormat="1" applyFont="1"/>
    <xf numFmtId="168" fontId="0" fillId="0" borderId="0" xfId="2" applyNumberFormat="1" applyFont="1" applyFill="1"/>
    <xf numFmtId="9" fontId="0" fillId="0" borderId="0" xfId="2" applyFont="1"/>
    <xf numFmtId="167" fontId="0" fillId="0" borderId="0" xfId="2" applyNumberFormat="1" applyFont="1"/>
    <xf numFmtId="169" fontId="0" fillId="0" borderId="0" xfId="2" applyNumberFormat="1" applyFont="1"/>
    <xf numFmtId="2" fontId="0" fillId="0" borderId="0" xfId="2" applyNumberFormat="1" applyFont="1"/>
    <xf numFmtId="2" fontId="0" fillId="0" borderId="0" xfId="0" applyNumberFormat="1"/>
    <xf numFmtId="43" fontId="0" fillId="0" borderId="0" xfId="0" applyNumberFormat="1"/>
    <xf numFmtId="43" fontId="0" fillId="0" borderId="6" xfId="0" applyNumberFormat="1" applyBorder="1"/>
    <xf numFmtId="1" fontId="0" fillId="0" borderId="0" xfId="0" applyNumberFormat="1"/>
    <xf numFmtId="166" fontId="0" fillId="0" borderId="4" xfId="1" applyNumberFormat="1" applyFont="1" applyBorder="1"/>
    <xf numFmtId="170" fontId="0" fillId="0" borderId="4" xfId="0" applyNumberFormat="1" applyBorder="1"/>
    <xf numFmtId="170" fontId="0" fillId="0" borderId="0" xfId="0" applyNumberFormat="1"/>
    <xf numFmtId="171" fontId="0" fillId="0" borderId="0" xfId="0" applyNumberFormat="1"/>
    <xf numFmtId="1" fontId="0" fillId="0" borderId="0" xfId="2" applyNumberFormat="1" applyFont="1"/>
    <xf numFmtId="166" fontId="0" fillId="0" borderId="0" xfId="0" applyNumberFormat="1"/>
    <xf numFmtId="0" fontId="0" fillId="7" borderId="0" xfId="0" applyFill="1"/>
    <xf numFmtId="0" fontId="0" fillId="7" borderId="1" xfId="0" applyFill="1" applyBorder="1"/>
    <xf numFmtId="43" fontId="0" fillId="7" borderId="2" xfId="0" applyNumberFormat="1" applyFill="1" applyBorder="1"/>
    <xf numFmtId="0" fontId="0" fillId="7" borderId="3" xfId="0" applyFill="1" applyBorder="1"/>
    <xf numFmtId="43" fontId="0" fillId="7" borderId="4" xfId="0" applyNumberFormat="1" applyFill="1" applyBorder="1"/>
  </cellXfs>
  <cellStyles count="8">
    <cellStyle name="Comma" xfId="1" builtinId="3"/>
    <cellStyle name="Comma 2" xfId="4" xr:uid="{00000000-0005-0000-0000-000001000000}"/>
    <cellStyle name="Currency 2" xfId="5" xr:uid="{00000000-0005-0000-0000-000002000000}"/>
    <cellStyle name="Hyperlink" xfId="7" builtinId="8"/>
    <cellStyle name="Normal" xfId="0" builtinId="0"/>
    <cellStyle name="Normal 2" xfId="3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en\Downloads\71733503734187_Task%2011%20-%20Linking%20Cash%20Flow%20Statement.xlsx" TargetMode="External"/><Relationship Id="rId1" Type="http://schemas.openxmlformats.org/officeDocument/2006/relationships/externalLinkPath" Target="71733503734187_Task%2011%20-%20Linking%20Cash%20Flow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storicals"/>
      <sheetName val="Segmental Forecast"/>
      <sheetName val="Three Statements"/>
    </sheetNames>
    <sheetDataSet>
      <sheetData sheetId="0"/>
      <sheetData sheetId="1"/>
      <sheetData sheetId="2"/>
      <sheetData sheetId="3">
        <row r="15">
          <cell r="B15">
            <v>884.4</v>
          </cell>
          <cell r="C15">
            <v>1742.5</v>
          </cell>
          <cell r="D15">
            <v>1692</v>
          </cell>
          <cell r="E15">
            <v>1659.1</v>
          </cell>
          <cell r="F15">
            <v>1618.4</v>
          </cell>
          <cell r="G15">
            <v>1591.6</v>
          </cell>
          <cell r="H15">
            <v>1609.4</v>
          </cell>
          <cell r="I15">
            <v>1610.8</v>
          </cell>
          <cell r="J15">
            <v>1864</v>
          </cell>
          <cell r="K15">
            <v>2149</v>
          </cell>
          <cell r="L15">
            <v>2470</v>
          </cell>
          <cell r="M15">
            <v>2841</v>
          </cell>
          <cell r="N15">
            <v>3196.125</v>
          </cell>
        </row>
        <row r="16">
          <cell r="J16">
            <v>2.8483327968526448</v>
          </cell>
          <cell r="K16">
            <v>2.6311004448580744</v>
          </cell>
          <cell r="M16">
            <v>2.2903043981871294</v>
          </cell>
          <cell r="N16">
            <v>2.165929854226853</v>
          </cell>
        </row>
        <row r="31">
          <cell r="J31">
            <v>42626.71</v>
          </cell>
          <cell r="K31">
            <v>46226.895611201267</v>
          </cell>
          <cell r="L31">
            <v>52903.060593930015</v>
          </cell>
          <cell r="M31">
            <v>62520.008219133073</v>
          </cell>
          <cell r="N31">
            <v>74204.662133274935</v>
          </cell>
        </row>
        <row r="54">
          <cell r="J54">
            <v>6069.1</v>
          </cell>
          <cell r="K54">
            <v>8314.6670000000013</v>
          </cell>
          <cell r="L54">
            <v>11391.093790000003</v>
          </cell>
          <cell r="M54">
            <v>15605.798492300004</v>
          </cell>
          <cell r="N54">
            <v>21379.943934451006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nance.yahoo.com/quote/NKE/history?p=NK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easury.gov/resource-center/data-chart-center/interest-rates/Pages/TextView.aspx?data=longterm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5" sqref="A5"/>
    </sheetView>
  </sheetViews>
  <sheetFormatPr defaultColWidth="9.109375" defaultRowHeight="14.4"/>
  <cols>
    <col min="1" max="1" width="176.109375" style="4" customWidth="1"/>
  </cols>
  <sheetData>
    <row r="1" spans="1:1" ht="23.4">
      <c r="A1" s="3" t="s">
        <v>0</v>
      </c>
    </row>
    <row r="2" spans="1:1">
      <c r="A2" s="15" t="s">
        <v>37</v>
      </c>
    </row>
    <row r="3" spans="1:1">
      <c r="A3" s="5"/>
    </row>
    <row r="4" spans="1:1" ht="23.4">
      <c r="A4" s="3" t="s">
        <v>1</v>
      </c>
    </row>
    <row r="5" spans="1:1">
      <c r="A5" s="6" t="s">
        <v>31</v>
      </c>
    </row>
    <row r="6" spans="1:1">
      <c r="A6" s="6" t="s">
        <v>41</v>
      </c>
    </row>
    <row r="7" spans="1:1">
      <c r="A7" s="26" t="s">
        <v>42</v>
      </c>
    </row>
    <row r="8" spans="1:1">
      <c r="A8" s="6" t="s">
        <v>40</v>
      </c>
    </row>
    <row r="9" spans="1:1">
      <c r="A9" s="4" t="s">
        <v>30</v>
      </c>
    </row>
    <row r="10" spans="1:1">
      <c r="A10" s="5"/>
    </row>
    <row r="11" spans="1:1">
      <c r="A11" s="5"/>
    </row>
    <row r="12" spans="1:1">
      <c r="A12" s="5"/>
    </row>
  </sheetData>
  <hyperlinks>
    <hyperlink ref="A7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1"/>
  <sheetViews>
    <sheetView topLeftCell="H1" workbookViewId="0">
      <pane ySplit="1" topLeftCell="A13" activePane="bottomLeft" state="frozen"/>
      <selection pane="bottomLeft" activeCell="U29" sqref="U29"/>
    </sheetView>
  </sheetViews>
  <sheetFormatPr defaultRowHeight="14.4"/>
  <cols>
    <col min="1" max="1" width="42.6640625" customWidth="1"/>
    <col min="2" max="2" width="32.5546875" bestFit="1" customWidth="1"/>
    <col min="3" max="4" width="10.5546875" customWidth="1"/>
    <col min="5" max="8" width="11.33203125" bestFit="1" customWidth="1"/>
    <col min="9" max="9" width="12.109375" customWidth="1"/>
    <col min="10" max="10" width="42.6640625" customWidth="1"/>
    <col min="11" max="11" width="11.6640625" bestFit="1" customWidth="1"/>
    <col min="12" max="15" width="11.109375" bestFit="1" customWidth="1"/>
    <col min="16" max="20" width="12.33203125" bestFit="1" customWidth="1"/>
    <col min="21" max="21" width="10.109375" bestFit="1" customWidth="1"/>
  </cols>
  <sheetData>
    <row r="1" spans="1:21" ht="60" customHeight="1">
      <c r="A1" s="23" t="s">
        <v>39</v>
      </c>
      <c r="B1" s="7">
        <v>2015</v>
      </c>
      <c r="C1" s="7">
        <f t="shared" ref="C1:T1" si="0">+B1+1</f>
        <v>2016</v>
      </c>
      <c r="D1" s="7">
        <f t="shared" si="0"/>
        <v>2017</v>
      </c>
      <c r="E1" s="7">
        <f t="shared" si="0"/>
        <v>2018</v>
      </c>
      <c r="F1" s="7">
        <f t="shared" si="0"/>
        <v>2019</v>
      </c>
      <c r="G1" s="7">
        <f t="shared" si="0"/>
        <v>2020</v>
      </c>
      <c r="H1" s="7">
        <f t="shared" si="0"/>
        <v>2021</v>
      </c>
      <c r="I1" s="7">
        <f t="shared" si="0"/>
        <v>2022</v>
      </c>
      <c r="J1" s="24" t="s">
        <v>1</v>
      </c>
      <c r="K1" s="9">
        <f>+I1+1</f>
        <v>2023</v>
      </c>
      <c r="L1" s="9">
        <f t="shared" si="0"/>
        <v>2024</v>
      </c>
      <c r="M1" s="9">
        <f t="shared" si="0"/>
        <v>2025</v>
      </c>
      <c r="N1" s="9">
        <f t="shared" si="0"/>
        <v>2026</v>
      </c>
      <c r="O1" s="9">
        <f t="shared" si="0"/>
        <v>2027</v>
      </c>
      <c r="P1" s="9">
        <f t="shared" si="0"/>
        <v>2028</v>
      </c>
      <c r="Q1" s="9">
        <f t="shared" si="0"/>
        <v>2029</v>
      </c>
      <c r="R1" s="9">
        <f t="shared" si="0"/>
        <v>2030</v>
      </c>
      <c r="S1" s="9">
        <f t="shared" si="0"/>
        <v>2031</v>
      </c>
      <c r="T1" s="9">
        <f t="shared" si="0"/>
        <v>2032</v>
      </c>
      <c r="U1" s="16" t="s">
        <v>2</v>
      </c>
    </row>
    <row r="2" spans="1:21">
      <c r="A2" s="8" t="s">
        <v>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7"/>
      <c r="Q2" s="17"/>
      <c r="R2" s="17"/>
      <c r="S2" s="17"/>
      <c r="T2" s="17"/>
      <c r="U2" s="17"/>
    </row>
    <row r="3" spans="1:21">
      <c r="A3" t="s">
        <v>4</v>
      </c>
      <c r="B3" s="18">
        <v>49.62</v>
      </c>
      <c r="C3" s="18">
        <v>51.14</v>
      </c>
      <c r="D3" s="18">
        <v>51.31</v>
      </c>
      <c r="E3" s="18">
        <v>68.03</v>
      </c>
      <c r="F3" s="18">
        <v>81.77</v>
      </c>
      <c r="G3" s="18">
        <v>101.44</v>
      </c>
      <c r="H3" s="18">
        <v>144.66999999999999</v>
      </c>
      <c r="I3" s="18">
        <v>112.94</v>
      </c>
      <c r="K3" s="18">
        <f>K5*'[1]Three Statements'!$J$16</f>
        <v>112.8739319566799</v>
      </c>
      <c r="L3" s="34">
        <f>L5*'[1]Three Statements'!$K$16</f>
        <v>112.98725636588249</v>
      </c>
      <c r="M3" s="14">
        <f>M5*'[1]Three Statements'!$M$16</f>
        <v>105.14917834603838</v>
      </c>
      <c r="N3" s="14">
        <f>N5*'[1]Three Statements'!$M$16</f>
        <v>112.9550125463993</v>
      </c>
      <c r="O3" s="14">
        <f>O5*'[1]Three Statements'!$N$16</f>
        <v>112.72816485547501</v>
      </c>
    </row>
    <row r="4" spans="1:21">
      <c r="A4" t="s">
        <v>5</v>
      </c>
      <c r="B4" s="2">
        <v>102000</v>
      </c>
      <c r="C4" s="2">
        <v>82250</v>
      </c>
      <c r="D4" s="2">
        <v>100000</v>
      </c>
      <c r="E4" s="2">
        <v>117180</v>
      </c>
      <c r="F4" s="2">
        <v>161570</v>
      </c>
      <c r="G4" s="2">
        <v>223000</v>
      </c>
      <c r="H4" s="2">
        <v>261430</v>
      </c>
      <c r="I4" s="2">
        <v>184980</v>
      </c>
      <c r="K4" s="2">
        <v>216846</v>
      </c>
      <c r="L4" s="2">
        <v>251140</v>
      </c>
      <c r="M4" s="2">
        <v>287326</v>
      </c>
      <c r="N4" s="2">
        <v>235840</v>
      </c>
      <c r="O4" s="2">
        <v>358363</v>
      </c>
      <c r="P4" s="41">
        <f>O4*1.16</f>
        <v>415701.07999999996</v>
      </c>
      <c r="Q4" s="41">
        <f t="shared" ref="Q4:T4" si="1">P4*1.16</f>
        <v>482213.2527999999</v>
      </c>
      <c r="R4" s="41">
        <f t="shared" si="1"/>
        <v>559367.37324799981</v>
      </c>
      <c r="S4" s="41">
        <f t="shared" si="1"/>
        <v>648866.15296767978</v>
      </c>
      <c r="T4" s="41">
        <f t="shared" si="1"/>
        <v>752684.73744250846</v>
      </c>
    </row>
    <row r="5" spans="1:21">
      <c r="A5" t="s">
        <v>6</v>
      </c>
      <c r="B5" s="14">
        <v>32.11</v>
      </c>
      <c r="C5" s="14">
        <v>23.65</v>
      </c>
      <c r="D5" s="14">
        <v>25.44</v>
      </c>
      <c r="E5" s="14">
        <v>58.35</v>
      </c>
      <c r="F5" s="14">
        <v>35.71</v>
      </c>
      <c r="G5" s="14">
        <v>73.92</v>
      </c>
      <c r="H5" s="14">
        <v>46.49</v>
      </c>
      <c r="I5" s="14">
        <v>32.65</v>
      </c>
      <c r="K5" s="35">
        <f>112.94/2.85</f>
        <v>39.628070175438594</v>
      </c>
      <c r="L5" s="35">
        <f>112.94/2.63</f>
        <v>42.942965779467684</v>
      </c>
      <c r="M5" s="35">
        <f>112.94/2.46</f>
        <v>45.91056910569106</v>
      </c>
      <c r="N5" s="35">
        <f>112.94/2.29</f>
        <v>49.318777292576421</v>
      </c>
      <c r="O5" s="35">
        <f>112.94/2.17</f>
        <v>52.046082949308754</v>
      </c>
      <c r="P5" s="35">
        <f>O5*1.08</f>
        <v>56.209769585253461</v>
      </c>
      <c r="Q5" s="35">
        <f t="shared" ref="Q5:T5" si="2">P5*1.08</f>
        <v>60.706551152073743</v>
      </c>
      <c r="R5" s="35">
        <f t="shared" si="2"/>
        <v>65.563075244239641</v>
      </c>
      <c r="S5" s="35">
        <f t="shared" si="2"/>
        <v>70.808121263778816</v>
      </c>
      <c r="T5" s="35">
        <f t="shared" si="2"/>
        <v>76.472770964881121</v>
      </c>
    </row>
    <row r="6" spans="1:21">
      <c r="A6" t="s">
        <v>7</v>
      </c>
      <c r="B6" s="14">
        <v>7.92</v>
      </c>
      <c r="C6" s="14">
        <v>6.91</v>
      </c>
      <c r="D6" s="14">
        <v>8.61</v>
      </c>
      <c r="E6" s="14">
        <v>13.29</v>
      </c>
      <c r="F6" s="14">
        <v>16.72</v>
      </c>
      <c r="G6" s="14">
        <v>20.49</v>
      </c>
      <c r="H6" s="14">
        <v>17.88</v>
      </c>
      <c r="I6" s="14">
        <v>11.46</v>
      </c>
      <c r="K6" s="14">
        <v>14.19</v>
      </c>
      <c r="L6" s="14">
        <v>17.32</v>
      </c>
      <c r="M6" s="14">
        <v>14.83</v>
      </c>
      <c r="N6" s="14">
        <v>14.53</v>
      </c>
      <c r="O6" s="14">
        <v>14.58</v>
      </c>
      <c r="P6" s="36">
        <f>O6*1.22</f>
        <v>17.787600000000001</v>
      </c>
      <c r="Q6" s="36">
        <f t="shared" ref="Q6:T6" si="3">P6*1.22</f>
        <v>21.700872</v>
      </c>
      <c r="R6" s="36">
        <f t="shared" si="3"/>
        <v>26.475063840000001</v>
      </c>
      <c r="S6" s="36">
        <f t="shared" si="3"/>
        <v>32.299577884800001</v>
      </c>
      <c r="T6" s="36">
        <f t="shared" si="3"/>
        <v>39.405485019456002</v>
      </c>
    </row>
    <row r="7" spans="1:21">
      <c r="A7" t="s">
        <v>8</v>
      </c>
      <c r="B7" s="14">
        <v>21.17</v>
      </c>
      <c r="C7" s="14">
        <v>16.760000000000002</v>
      </c>
      <c r="D7" s="14">
        <v>16.89</v>
      </c>
      <c r="E7" s="14">
        <v>22.85</v>
      </c>
      <c r="F7" s="14">
        <v>27.91</v>
      </c>
      <c r="G7" s="14">
        <v>46.51</v>
      </c>
      <c r="H7" s="14">
        <v>37.450000000000003</v>
      </c>
      <c r="I7" s="14">
        <v>25.86</v>
      </c>
      <c r="K7" s="36">
        <f>K4/6977</f>
        <v>31.080120395585496</v>
      </c>
      <c r="L7" s="36">
        <f>L4/7513</f>
        <v>33.42739251963264</v>
      </c>
      <c r="M7" s="36">
        <f>M4/8169</f>
        <v>35.172726159872688</v>
      </c>
      <c r="N7" s="36">
        <f>N4/8853</f>
        <v>26.639557212244437</v>
      </c>
      <c r="O7" s="36">
        <f>O4/9578</f>
        <v>37.415222384631448</v>
      </c>
      <c r="P7" s="36">
        <f>O7*1.075</f>
        <v>40.221364063478802</v>
      </c>
      <c r="Q7" s="36">
        <f t="shared" ref="Q7:T7" si="4">P7*1.075</f>
        <v>43.237966368239711</v>
      </c>
      <c r="R7" s="36">
        <f t="shared" si="4"/>
        <v>46.480813845857689</v>
      </c>
      <c r="S7" s="36">
        <f t="shared" si="4"/>
        <v>49.966874884297013</v>
      </c>
      <c r="T7" s="36">
        <f t="shared" si="4"/>
        <v>53.714390500619288</v>
      </c>
    </row>
    <row r="8" spans="1:21">
      <c r="A8" t="s">
        <v>9</v>
      </c>
      <c r="B8" s="14">
        <f>B4/3677</f>
        <v>27.740005439216752</v>
      </c>
      <c r="C8" s="14">
        <f>C4/1905</f>
        <v>43.175853018372706</v>
      </c>
      <c r="D8" s="14">
        <f>D4/3640</f>
        <v>27.472527472527471</v>
      </c>
      <c r="E8" s="14">
        <f>E4/4955</f>
        <v>23.648839556004038</v>
      </c>
      <c r="F8" s="14">
        <f>F4/5903</f>
        <v>27.370828392342876</v>
      </c>
      <c r="G8" s="14">
        <f>G4/1361</f>
        <v>163.85011021307861</v>
      </c>
      <c r="H8" s="14">
        <f>H4/5962</f>
        <v>43.849379402884935</v>
      </c>
      <c r="I8" s="14">
        <f>I4/4430</f>
        <v>41.756207674943568</v>
      </c>
      <c r="K8" s="36">
        <f>K4/'[1]Three Statements'!$J$54</f>
        <v>35.72951508460892</v>
      </c>
      <c r="L8" s="36">
        <f>L4/'[1]Three Statements'!$K$54</f>
        <v>30.20445677499772</v>
      </c>
      <c r="M8" s="36">
        <f>M4/'[1]Three Statements'!$L$54</f>
        <v>25.223741046907836</v>
      </c>
      <c r="N8" s="36">
        <f>N4/'[1]Three Statements'!$M$54</f>
        <v>15.112331491167524</v>
      </c>
      <c r="O8" s="36">
        <f>O4/'[1]Three Statements'!$N$54</f>
        <v>16.761643580484069</v>
      </c>
      <c r="P8" s="35">
        <f>P4/P15</f>
        <v>45.294016160834168</v>
      </c>
      <c r="Q8" s="35">
        <f>Q4/Q15</f>
        <v>51.259569508846475</v>
      </c>
      <c r="R8" s="35">
        <f>R4/R15</f>
        <v>58.010829883182353</v>
      </c>
      <c r="S8" s="35">
        <f>S4/S15</f>
        <v>65.651280648284427</v>
      </c>
      <c r="T8" s="35">
        <f>T4/T15</f>
        <v>74.298034684887739</v>
      </c>
    </row>
    <row r="9" spans="1:21">
      <c r="A9" t="s">
        <v>10</v>
      </c>
      <c r="B9" s="14">
        <f>1260/13967</f>
        <v>9.021264408963986E-2</v>
      </c>
      <c r="C9" s="14">
        <f>2038/14296</f>
        <v>0.14255735870173475</v>
      </c>
      <c r="D9" s="14">
        <f>3800/16207</f>
        <v>0.23446658851113716</v>
      </c>
      <c r="E9" s="14">
        <f>3810/13622</f>
        <v>0.27969461165761267</v>
      </c>
      <c r="F9" s="14">
        <f>3479/12519</f>
        <v>0.27789759565460498</v>
      </c>
      <c r="G9" s="14">
        <f>8055/20125</f>
        <v>0.40024844720496894</v>
      </c>
      <c r="H9" s="14">
        <f>12605/25372</f>
        <v>0.49680750433548793</v>
      </c>
      <c r="I9" s="14">
        <f>12207/27488</f>
        <v>0.44408469150174623</v>
      </c>
      <c r="K9">
        <v>0.94</v>
      </c>
      <c r="L9">
        <v>1.1299999999999999</v>
      </c>
      <c r="M9">
        <v>0.96</v>
      </c>
      <c r="N9">
        <v>0.91</v>
      </c>
      <c r="O9">
        <v>1.0209999999999999</v>
      </c>
      <c r="P9" s="35">
        <f>O9*1.12</f>
        <v>1.1435200000000001</v>
      </c>
      <c r="Q9" s="35">
        <f t="shared" ref="Q9:T9" si="5">P9*1.12</f>
        <v>1.2807424000000003</v>
      </c>
      <c r="R9" s="35">
        <f t="shared" si="5"/>
        <v>1.4344314880000004</v>
      </c>
      <c r="S9" s="35">
        <f t="shared" si="5"/>
        <v>1.6065632665600007</v>
      </c>
      <c r="T9" s="35">
        <f t="shared" si="5"/>
        <v>1.7993508585472009</v>
      </c>
    </row>
    <row r="10" spans="1:21">
      <c r="A10" t="s">
        <v>11</v>
      </c>
      <c r="B10" s="14">
        <v>0.06</v>
      </c>
      <c r="C10" s="14">
        <v>0.1</v>
      </c>
      <c r="D10" s="14">
        <v>0.16</v>
      </c>
      <c r="E10" s="14">
        <v>0.17</v>
      </c>
      <c r="F10" s="14">
        <v>0.15</v>
      </c>
      <c r="G10" s="14">
        <v>0.31</v>
      </c>
      <c r="H10" s="14">
        <v>0.25</v>
      </c>
      <c r="I10" s="14">
        <v>0.23</v>
      </c>
      <c r="K10" s="14">
        <v>0.49</v>
      </c>
      <c r="L10" s="14">
        <v>0.46839999999999998</v>
      </c>
      <c r="M10" s="14">
        <v>0.49</v>
      </c>
      <c r="N10" s="14">
        <v>0.48</v>
      </c>
      <c r="O10" s="14">
        <v>0.51</v>
      </c>
      <c r="P10" s="36">
        <f>0.956*O10</f>
        <v>0.48755999999999999</v>
      </c>
      <c r="Q10" s="36">
        <f t="shared" ref="Q10:T10" si="6">0.956*P10</f>
        <v>0.46610735999999997</v>
      </c>
      <c r="R10" s="36">
        <f t="shared" si="6"/>
        <v>0.44559863615999995</v>
      </c>
      <c r="S10" s="36">
        <f t="shared" si="6"/>
        <v>0.42599229616895995</v>
      </c>
      <c r="T10" s="36">
        <f t="shared" si="6"/>
        <v>0.40724863513752568</v>
      </c>
    </row>
    <row r="11" spans="1:21">
      <c r="A11" t="s">
        <v>12</v>
      </c>
      <c r="B11" s="14">
        <v>28.19</v>
      </c>
      <c r="C11" s="14">
        <v>31.7</v>
      </c>
      <c r="D11" s="14">
        <v>31.64</v>
      </c>
      <c r="E11" s="14">
        <v>23.1</v>
      </c>
      <c r="F11" s="14">
        <v>50.03</v>
      </c>
      <c r="G11" s="14">
        <v>29.7</v>
      </c>
      <c r="H11" s="14">
        <v>55.01</v>
      </c>
      <c r="I11" s="14">
        <v>43.11</v>
      </c>
      <c r="K11" s="43">
        <v>37</v>
      </c>
      <c r="L11" s="43">
        <v>40</v>
      </c>
      <c r="M11" s="43">
        <v>32</v>
      </c>
      <c r="N11" s="43">
        <v>32</v>
      </c>
      <c r="O11" s="43">
        <v>28</v>
      </c>
      <c r="P11" s="42">
        <f>O11*1.08</f>
        <v>30.240000000000002</v>
      </c>
      <c r="Q11" s="42">
        <f t="shared" ref="Q11:T11" si="7">P11*1.08</f>
        <v>32.659200000000006</v>
      </c>
      <c r="R11" s="42">
        <f t="shared" si="7"/>
        <v>35.271936000000011</v>
      </c>
      <c r="S11" s="42">
        <f t="shared" si="7"/>
        <v>38.093690880000011</v>
      </c>
      <c r="T11" s="42">
        <f t="shared" si="7"/>
        <v>41.141186150400017</v>
      </c>
    </row>
    <row r="12" spans="1:21">
      <c r="B12" s="27"/>
      <c r="C12" s="27"/>
      <c r="D12" s="27"/>
      <c r="E12" s="27"/>
      <c r="F12" s="27"/>
      <c r="G12" s="27"/>
      <c r="H12" s="27"/>
      <c r="I12" s="27"/>
    </row>
    <row r="13" spans="1:21">
      <c r="B13" s="27"/>
      <c r="C13" s="27"/>
      <c r="D13" s="27"/>
      <c r="E13" s="27"/>
      <c r="F13" s="27"/>
      <c r="G13" s="27"/>
      <c r="H13" s="27"/>
      <c r="I13" s="27"/>
      <c r="J13" t="s">
        <v>43</v>
      </c>
    </row>
    <row r="14" spans="1:21">
      <c r="B14" s="27"/>
      <c r="C14" s="27"/>
      <c r="D14" s="27"/>
      <c r="E14" s="27"/>
      <c r="F14" s="27"/>
      <c r="G14" s="27"/>
      <c r="H14" s="27"/>
      <c r="I14" s="27"/>
      <c r="K14" s="27"/>
      <c r="L14" s="27"/>
      <c r="M14" s="36"/>
      <c r="N14" s="36"/>
      <c r="O14" s="36"/>
      <c r="P14" s="36"/>
      <c r="Q14" s="36"/>
      <c r="R14" s="36"/>
      <c r="S14" s="36"/>
      <c r="T14" s="36"/>
    </row>
    <row r="15" spans="1:21">
      <c r="A15" t="s">
        <v>13</v>
      </c>
      <c r="B15" s="2">
        <v>3677</v>
      </c>
      <c r="C15" s="2">
        <v>1905</v>
      </c>
      <c r="D15" s="2">
        <v>2439</v>
      </c>
      <c r="E15" s="2">
        <v>3761</v>
      </c>
      <c r="F15" s="2">
        <v>4828</v>
      </c>
      <c r="G15" s="2">
        <v>1361</v>
      </c>
      <c r="H15" s="2">
        <v>5962</v>
      </c>
      <c r="I15" s="2">
        <v>4430</v>
      </c>
      <c r="K15" s="2">
        <v>6069.1</v>
      </c>
      <c r="L15" s="2">
        <v>8314.6670000000013</v>
      </c>
      <c r="M15" s="2">
        <f>L15*1.025</f>
        <v>8522.5336750000006</v>
      </c>
      <c r="N15" s="2">
        <f t="shared" ref="N15:U15" si="8">M15*1.025</f>
        <v>8735.5970168749991</v>
      </c>
      <c r="O15" s="2">
        <f t="shared" si="8"/>
        <v>8953.9869422968732</v>
      </c>
      <c r="P15" s="2">
        <f t="shared" si="8"/>
        <v>9177.836615854294</v>
      </c>
      <c r="Q15" s="2">
        <f t="shared" si="8"/>
        <v>9407.2825312506502</v>
      </c>
      <c r="R15" s="2">
        <f t="shared" si="8"/>
        <v>9642.4645945319153</v>
      </c>
      <c r="S15" s="2">
        <f t="shared" si="8"/>
        <v>9883.5262093952115</v>
      </c>
      <c r="T15" s="2">
        <f t="shared" si="8"/>
        <v>10130.614364630092</v>
      </c>
      <c r="U15" s="2">
        <f t="shared" si="8"/>
        <v>10383.879723745844</v>
      </c>
    </row>
    <row r="16" spans="1:21" s="10" customFormat="1">
      <c r="A16" s="13" t="s">
        <v>14</v>
      </c>
      <c r="B16" s="11">
        <f>B15/2136-1</f>
        <v>0.72144194756554314</v>
      </c>
      <c r="C16" s="12">
        <f t="shared" ref="C16:I16" si="9">C15/B15-1</f>
        <v>-0.48191460429698119</v>
      </c>
      <c r="D16" s="12">
        <f t="shared" si="9"/>
        <v>0.28031496062992134</v>
      </c>
      <c r="E16" s="12">
        <f t="shared" si="9"/>
        <v>0.54202542025420253</v>
      </c>
      <c r="F16" s="12">
        <f t="shared" si="9"/>
        <v>0.2837011433129486</v>
      </c>
      <c r="G16" s="12">
        <f t="shared" si="9"/>
        <v>-0.71810273405136704</v>
      </c>
      <c r="H16" s="12">
        <f t="shared" si="9"/>
        <v>3.3806024981631158</v>
      </c>
      <c r="I16" s="12">
        <f t="shared" si="9"/>
        <v>-0.25696075142569608</v>
      </c>
      <c r="J16" s="13"/>
      <c r="K16" s="12">
        <f>K15/I15-1</f>
        <v>0.37000000000000011</v>
      </c>
      <c r="L16" s="12">
        <f>L15/K15-1</f>
        <v>0.37000000000000011</v>
      </c>
      <c r="M16" s="31">
        <f>M15/L15-1</f>
        <v>2.4999999999999911E-2</v>
      </c>
      <c r="N16" s="31">
        <f>N15/M15-1</f>
        <v>2.4999999999999911E-2</v>
      </c>
      <c r="O16" s="31">
        <f t="shared" ref="O16" si="10">O15/N15-1</f>
        <v>2.4999999999999911E-2</v>
      </c>
      <c r="P16" s="19"/>
      <c r="Q16" s="19"/>
      <c r="R16" s="19"/>
      <c r="S16" s="19"/>
      <c r="T16" s="19"/>
      <c r="U16" s="19"/>
    </row>
    <row r="17" spans="1:21">
      <c r="A17" t="s">
        <v>19</v>
      </c>
      <c r="B17" s="32">
        <f>(0.91*0.2)+(0.09*0.011)*(1-0.22)</f>
        <v>0.18277220000000002</v>
      </c>
      <c r="C17" s="33">
        <f>(0.86*0.036)+(C9*0.0086)*(1-0.813)</f>
        <v>3.1189260744264129E-2</v>
      </c>
      <c r="D17" s="27">
        <f>(0.77*0.0033)+(0.23*0.0064)*(1-0.868)</f>
        <v>2.735304E-3</v>
      </c>
      <c r="E17" s="31">
        <f>(0.72*0.17)+(0.28*0.00117)*(1-0.45)</f>
        <v>0.12258018000000001</v>
      </c>
      <c r="F17" s="32">
        <f>(0.72*0.202)+(0.28*0.0053)*(1-0.84)</f>
        <v>0.14567744000000002</v>
      </c>
      <c r="G17" s="32">
        <f>(0.6*0.2406)+(0.4*0.0046)*(1-0.88)</f>
        <v>0.14458079999999998</v>
      </c>
      <c r="H17" s="32">
        <f>(0.5*0.43)+(0.5*0.0038)*(1-0.86)</f>
        <v>0.21526599999999999</v>
      </c>
      <c r="I17" s="31">
        <f>(0.56*-0.17)+(0.44*-0.04)*(1-0.91)</f>
        <v>-9.6784000000000023E-2</v>
      </c>
      <c r="J17" t="s">
        <v>29</v>
      </c>
      <c r="K17" s="2"/>
      <c r="L17" s="2"/>
      <c r="M17" s="2"/>
      <c r="N17" s="2"/>
      <c r="O17" s="2"/>
    </row>
    <row r="18" spans="1:21">
      <c r="A18" s="1" t="s">
        <v>15</v>
      </c>
      <c r="B18">
        <v>25</v>
      </c>
      <c r="C18">
        <v>0.25</v>
      </c>
      <c r="D18">
        <v>1.22</v>
      </c>
      <c r="E18">
        <v>-3</v>
      </c>
      <c r="F18" s="34">
        <v>0.69</v>
      </c>
      <c r="G18">
        <v>1.5</v>
      </c>
      <c r="H18">
        <v>1.58</v>
      </c>
      <c r="I18">
        <v>0.9</v>
      </c>
      <c r="J18" s="1" t="s">
        <v>27</v>
      </c>
      <c r="T18" s="22"/>
    </row>
    <row r="19" spans="1:21">
      <c r="A19" s="1" t="s">
        <v>16</v>
      </c>
      <c r="B19" s="28">
        <v>0.2</v>
      </c>
      <c r="C19" s="27">
        <f>C3/B3-1</f>
        <v>3.0632809351068158E-2</v>
      </c>
      <c r="D19" s="27">
        <f>D3/C3-1</f>
        <v>3.3242080563160581E-3</v>
      </c>
      <c r="E19" s="27">
        <v>0.17</v>
      </c>
      <c r="F19" s="27">
        <f>F3/E3-1</f>
        <v>0.20196971924151108</v>
      </c>
      <c r="G19" s="27">
        <f>G3/F3-1</f>
        <v>0.24055276996453467</v>
      </c>
      <c r="H19" s="27">
        <f>H3/G3-1</f>
        <v>0.42616324921135629</v>
      </c>
      <c r="I19" s="27">
        <f>I3/H3-1</f>
        <v>-0.21932674362341875</v>
      </c>
      <c r="J19" s="1" t="s">
        <v>32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>
      <c r="A20" s="1" t="s">
        <v>34</v>
      </c>
      <c r="B20" s="22">
        <v>1.0999999999999999E-2</v>
      </c>
      <c r="C20" s="27">
        <v>8.6E-3</v>
      </c>
      <c r="D20" s="27">
        <v>6.4000000000000003E-3</v>
      </c>
      <c r="E20" s="29">
        <v>1.17E-3</v>
      </c>
      <c r="F20" s="27">
        <v>5.3E-3</v>
      </c>
      <c r="G20" s="27">
        <v>4.5999999999999999E-3</v>
      </c>
      <c r="H20" s="27">
        <v>3.8E-3</v>
      </c>
      <c r="I20" s="30">
        <v>1.7799999999999999E-3</v>
      </c>
      <c r="J20" s="25" t="s">
        <v>33</v>
      </c>
      <c r="K20" s="22"/>
      <c r="L20" s="22"/>
      <c r="M20" s="22"/>
      <c r="N20" s="22"/>
      <c r="O20" s="22"/>
      <c r="P20" s="22"/>
      <c r="Q20" s="22"/>
      <c r="R20" s="22"/>
      <c r="S20" s="22"/>
      <c r="U20" s="22"/>
    </row>
    <row r="21" spans="1:21">
      <c r="A21" s="1" t="s">
        <v>36</v>
      </c>
      <c r="B21" s="28">
        <v>0.01</v>
      </c>
      <c r="C21" s="27">
        <v>9.5399999999999999E-2</v>
      </c>
      <c r="D21" s="27">
        <v>0.19420000000000001</v>
      </c>
      <c r="E21" s="27">
        <v>-6.2399999999999997E-2</v>
      </c>
      <c r="F21" s="32">
        <v>0.28799999999999998</v>
      </c>
      <c r="G21" s="27">
        <v>0.16259999999999999</v>
      </c>
      <c r="H21" s="27">
        <v>0.26889999999999997</v>
      </c>
      <c r="I21" s="28">
        <v>-0.19439999999999999</v>
      </c>
      <c r="J21" s="1" t="s">
        <v>35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>
      <c r="A22" s="1" t="s">
        <v>17</v>
      </c>
      <c r="B22" s="22">
        <v>0.02</v>
      </c>
      <c r="C22">
        <v>0.9</v>
      </c>
      <c r="D22">
        <v>1.5</v>
      </c>
      <c r="E22">
        <v>1.4</v>
      </c>
      <c r="F22">
        <v>1</v>
      </c>
      <c r="G22" s="38">
        <v>1</v>
      </c>
      <c r="H22">
        <v>2</v>
      </c>
      <c r="I22" s="22">
        <v>1.6E-2</v>
      </c>
      <c r="J22" t="s">
        <v>26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>
      <c r="A23" s="1" t="s">
        <v>18</v>
      </c>
      <c r="B23" s="28">
        <v>5.9999999999999995E-4</v>
      </c>
      <c r="C23">
        <v>0.1</v>
      </c>
      <c r="D23">
        <v>0.16</v>
      </c>
      <c r="E23">
        <v>0.17</v>
      </c>
      <c r="F23">
        <v>0.15</v>
      </c>
      <c r="G23">
        <v>0.42</v>
      </c>
      <c r="H23">
        <v>0.34</v>
      </c>
      <c r="I23" s="22">
        <v>3.0999999999999999E-3</v>
      </c>
      <c r="J23" t="s">
        <v>26</v>
      </c>
      <c r="K23" s="22">
        <f>14088/'[1]Three Statements'!$J$31</f>
        <v>0.33049700528143033</v>
      </c>
      <c r="L23" s="22">
        <f>15910/'[1]Three Statements'!$K$31</f>
        <v>0.34417193258689943</v>
      </c>
      <c r="M23" s="22">
        <f>18051/'[1]Three Statements'!$L$31</f>
        <v>0.34120899239752367</v>
      </c>
      <c r="N23" s="22">
        <f>20064/'[1]Three Statements'!$M$31</f>
        <v>0.32092126299272927</v>
      </c>
      <c r="O23" s="22">
        <f>25242/'[1]Three Statements'!$N$31</f>
        <v>0.34016730585827915</v>
      </c>
      <c r="P23" s="22"/>
      <c r="Q23" s="22"/>
      <c r="R23" s="22"/>
      <c r="S23" s="22"/>
      <c r="T23" s="22"/>
      <c r="U23" s="22"/>
    </row>
    <row r="24" spans="1:21">
      <c r="A24" s="45" t="s">
        <v>28</v>
      </c>
      <c r="I24" s="2"/>
      <c r="J24" t="s">
        <v>38</v>
      </c>
      <c r="L24" s="2"/>
      <c r="M24" s="2"/>
      <c r="N24" s="2"/>
      <c r="O24" s="2"/>
    </row>
    <row r="25" spans="1:21" ht="15" thickBot="1">
      <c r="A25" s="1" t="s">
        <v>32</v>
      </c>
      <c r="B25" s="31">
        <f>0.01+(0.01*20)</f>
        <v>0.21000000000000002</v>
      </c>
      <c r="C25" s="27">
        <f>0.0086+(0.25*0.0954)</f>
        <v>3.245E-2</v>
      </c>
      <c r="D25" s="32">
        <f>0.0064+(0.0033*1.22)</f>
        <v>1.0426000000000001E-2</v>
      </c>
      <c r="E25" s="31">
        <f>0.0117+(-0.0624*-3)</f>
        <v>0.19889999999999997</v>
      </c>
      <c r="F25" s="31">
        <f>0.01+(0.288*0.69)</f>
        <v>0.20871999999999999</v>
      </c>
      <c r="G25" s="31">
        <f>0.0046+(1.5*0.1626)</f>
        <v>0.2485</v>
      </c>
      <c r="H25" s="31">
        <f>0.0038+(1.58*0.2689)</f>
        <v>0.42866199999999999</v>
      </c>
      <c r="I25" s="27">
        <f>-0.1944-(-0.2193*0.9)</f>
        <v>2.9700000000000004E-3</v>
      </c>
      <c r="K25" s="2"/>
      <c r="L25" s="2"/>
      <c r="M25" s="2"/>
      <c r="N25" s="2"/>
      <c r="O25" s="2"/>
    </row>
    <row r="26" spans="1:21">
      <c r="A26" s="46" t="s">
        <v>24</v>
      </c>
      <c r="B26" s="47">
        <f>B15/1.183</f>
        <v>3108.1994928148774</v>
      </c>
      <c r="C26" s="44">
        <f>C15/(1.0306)^2</f>
        <v>1793.5550196210211</v>
      </c>
      <c r="D26" s="44">
        <f>D15/(1.0027)^3</f>
        <v>2419.3503037285841</v>
      </c>
      <c r="E26" s="44">
        <f>E15/(1.12)^4</f>
        <v>2390.1834928805702</v>
      </c>
      <c r="F26" s="44">
        <f>F15/(1.146)^5</f>
        <v>2442.553996548038</v>
      </c>
      <c r="G26" s="44">
        <f>G15/(1.145)^6</f>
        <v>603.98368175881615</v>
      </c>
      <c r="H26" s="44">
        <f>H15/(1.215)^7</f>
        <v>1525.3096791033488</v>
      </c>
      <c r="I26" s="44">
        <f>I15/(-1.1)^8</f>
        <v>2066.6276943291177</v>
      </c>
      <c r="K26" s="2">
        <f>K15/(1.09)^9</f>
        <v>2794.3822366623826</v>
      </c>
      <c r="L26" s="2">
        <f>L15/(1.09)^10</f>
        <v>3512.2051965389578</v>
      </c>
      <c r="M26" s="2">
        <f>M15/(1.09)^11</f>
        <v>3302.7617673875516</v>
      </c>
      <c r="N26" s="2">
        <f>N15/(1.09)^12</f>
        <v>3105.8080840112293</v>
      </c>
      <c r="O26" s="2">
        <f>O15/(1.09)^13</f>
        <v>2920.5993450564306</v>
      </c>
      <c r="P26" s="2">
        <f>P15/(1.09)^14</f>
        <v>2746.4351639292117</v>
      </c>
      <c r="Q26" s="2">
        <f>Q15/(1.09)^15</f>
        <v>2582.6569202086621</v>
      </c>
      <c r="R26" s="2">
        <f>R15/(1.09)^16</f>
        <v>2428.645269003558</v>
      </c>
      <c r="S26" s="2">
        <f>S15/(1.09)^17</f>
        <v>2283.8177988336206</v>
      </c>
      <c r="T26" s="2">
        <f>T15/(1.09)^18</f>
        <v>2147.6268291784045</v>
      </c>
      <c r="U26" s="2">
        <f>U15/(1.09)^19</f>
        <v>2019.5573393650131</v>
      </c>
    </row>
    <row r="27" spans="1:21">
      <c r="A27" s="48" t="s">
        <v>25</v>
      </c>
      <c r="B27" s="49">
        <f>68668/1.183</f>
        <v>58045.646661031271</v>
      </c>
      <c r="C27" s="44">
        <v>64726</v>
      </c>
      <c r="D27" s="41">
        <f>68115</f>
        <v>68115</v>
      </c>
      <c r="E27" s="41">
        <v>43640</v>
      </c>
      <c r="F27" s="41">
        <v>35664</v>
      </c>
      <c r="G27" s="41">
        <v>30473</v>
      </c>
      <c r="H27" s="41">
        <v>17567</v>
      </c>
      <c r="I27" s="41">
        <v>15952</v>
      </c>
      <c r="K27" s="2">
        <v>31617</v>
      </c>
      <c r="L27" s="2">
        <v>29006</v>
      </c>
      <c r="M27" s="2">
        <v>26611</v>
      </c>
      <c r="N27" s="2">
        <v>24414</v>
      </c>
      <c r="O27" s="2">
        <v>22398</v>
      </c>
      <c r="P27" s="2">
        <v>20549</v>
      </c>
      <c r="Q27" s="2">
        <v>18852</v>
      </c>
      <c r="R27" s="2">
        <v>17295</v>
      </c>
      <c r="S27" s="2">
        <v>15867</v>
      </c>
      <c r="T27" s="2">
        <v>14557</v>
      </c>
      <c r="U27" s="2">
        <v>13355</v>
      </c>
    </row>
    <row r="28" spans="1:21">
      <c r="A28" s="48" t="s">
        <v>20</v>
      </c>
      <c r="B28" s="49">
        <f>B26+B27</f>
        <v>61153.846153846149</v>
      </c>
      <c r="C28" s="44">
        <f>C27+C26</f>
        <v>66519.555019621024</v>
      </c>
      <c r="D28" s="41">
        <f>D26+D27</f>
        <v>70534.350303728585</v>
      </c>
      <c r="E28" s="41">
        <f>E26+E27</f>
        <v>46030.183492880569</v>
      </c>
      <c r="F28" s="41">
        <f>F27+F26</f>
        <v>38106.553996548035</v>
      </c>
      <c r="G28" s="41">
        <f>G26+G27</f>
        <v>31076.983681758815</v>
      </c>
      <c r="H28" s="41">
        <f>H27+H26</f>
        <v>19092.309679103349</v>
      </c>
      <c r="I28" s="44">
        <f>I26+I27</f>
        <v>18018.627694329116</v>
      </c>
      <c r="K28" s="44">
        <f>K26+K27</f>
        <v>34411.382236662379</v>
      </c>
      <c r="L28" s="44">
        <f>L26+L27</f>
        <v>32518.205196538958</v>
      </c>
      <c r="M28" s="44">
        <f>M27+M26</f>
        <v>29913.76176738755</v>
      </c>
      <c r="N28" s="44">
        <f>N26+N27</f>
        <v>27519.808084011231</v>
      </c>
      <c r="O28" s="44">
        <f>O26+O27</f>
        <v>25318.599345056431</v>
      </c>
      <c r="P28" s="44">
        <f t="shared" ref="P28:U28" si="11">P27+P26</f>
        <v>23295.435163929211</v>
      </c>
      <c r="Q28" s="44">
        <f t="shared" si="11"/>
        <v>21434.656920208661</v>
      </c>
      <c r="R28" s="44">
        <f t="shared" si="11"/>
        <v>19723.645269003558</v>
      </c>
      <c r="S28" s="44">
        <f t="shared" si="11"/>
        <v>18150.817798833621</v>
      </c>
      <c r="T28" s="44">
        <f t="shared" si="11"/>
        <v>16704.626829178404</v>
      </c>
      <c r="U28" s="44">
        <f t="shared" si="11"/>
        <v>15374.557339365014</v>
      </c>
    </row>
    <row r="29" spans="1:21">
      <c r="A29" s="20" t="s">
        <v>22</v>
      </c>
      <c r="B29" s="39">
        <v>1260</v>
      </c>
      <c r="C29" s="2">
        <v>2038</v>
      </c>
      <c r="D29" s="2">
        <v>3802</v>
      </c>
      <c r="E29" s="2">
        <v>3810</v>
      </c>
      <c r="F29" s="2">
        <v>3479</v>
      </c>
      <c r="G29" s="2">
        <v>12570</v>
      </c>
      <c r="H29" s="2">
        <v>12346</v>
      </c>
      <c r="I29" s="2">
        <v>12207</v>
      </c>
      <c r="J29" s="2"/>
      <c r="K29" s="2">
        <v>14088</v>
      </c>
      <c r="L29" s="2">
        <v>15910</v>
      </c>
      <c r="M29" s="2">
        <v>18051</v>
      </c>
      <c r="N29" s="2">
        <v>20064</v>
      </c>
      <c r="O29" s="2">
        <v>25242</v>
      </c>
    </row>
    <row r="30" spans="1:21">
      <c r="A30" s="20" t="s">
        <v>23</v>
      </c>
      <c r="B30" s="40">
        <f>B3*'[1]Three Statements'!$B$15</f>
        <v>43883.928</v>
      </c>
      <c r="C30" s="41">
        <f>C3*'[1]Three Statements'!$C$15</f>
        <v>89111.45</v>
      </c>
      <c r="D30" s="41">
        <f>D3*'[1]Three Statements'!$D$15</f>
        <v>86816.52</v>
      </c>
      <c r="E30" s="41">
        <f>E3*'[1]Three Statements'!$E$15</f>
        <v>112868.57299999999</v>
      </c>
      <c r="F30" s="41">
        <f>F3*'[1]Three Statements'!$F$15</f>
        <v>132336.568</v>
      </c>
      <c r="G30" s="41">
        <f>G3*'[1]Three Statements'!$G$15</f>
        <v>161451.90399999998</v>
      </c>
      <c r="H30" s="41">
        <f>H3*'[1]Three Statements'!$H$15</f>
        <v>232831.89799999999</v>
      </c>
      <c r="I30" s="41">
        <f>I3*'[1]Three Statements'!$I$15</f>
        <v>181923.75199999998</v>
      </c>
      <c r="K30" s="2">
        <f>K31*'[1]Three Statements'!$J$15</f>
        <v>210385</v>
      </c>
      <c r="L30" s="2">
        <f>L31*'[1]Three Statements'!$K$15</f>
        <v>242800</v>
      </c>
      <c r="M30" s="2">
        <f>M31*'[1]Three Statements'!$L$15</f>
        <v>279412</v>
      </c>
      <c r="N30" s="2">
        <f>N31*'[1]Three Statements'!$M$15</f>
        <v>230917</v>
      </c>
      <c r="O30" s="2">
        <f>O31*'[1]Three Statements'!$N$15</f>
        <v>354771</v>
      </c>
    </row>
    <row r="31" spans="1:21" ht="15" thickBot="1">
      <c r="A31" s="21" t="s">
        <v>21</v>
      </c>
      <c r="B31" s="37">
        <f>104592/'[1]Three Statements'!$B$15</f>
        <v>118.26322930800544</v>
      </c>
      <c r="C31" s="36">
        <f>83350/'[1]Three Statements'!$C$15</f>
        <v>47.833572453371595</v>
      </c>
      <c r="D31" s="35">
        <f>100006/'[1]Three Statements'!$D$15</f>
        <v>59.105200945626478</v>
      </c>
      <c r="E31" s="35">
        <f>117619/'[1]Three Statements'!$E$15</f>
        <v>70.893255379422584</v>
      </c>
      <c r="F31" s="35">
        <f>162557/'[1]Three Statements'!$F$15</f>
        <v>100.44303015323776</v>
      </c>
      <c r="G31" s="35">
        <f>218778/'[1]Three Statements'!$G$15</f>
        <v>137.45790399597891</v>
      </c>
      <c r="H31" s="35">
        <f>258973/'[1]Three Statements'!$H$15</f>
        <v>160.91276252019387</v>
      </c>
      <c r="I31" s="35">
        <f>181347/'[1]Three Statements'!$I$15</f>
        <v>112.58194685870376</v>
      </c>
      <c r="K31" s="35">
        <f>210385/'[1]Three Statements'!$J$15</f>
        <v>112.86748927038627</v>
      </c>
      <c r="L31" s="35">
        <f>242800/'[1]Three Statements'!$K$15</f>
        <v>112.98278268962308</v>
      </c>
      <c r="M31" s="35">
        <f>279412/'[1]Three Statements'!$L$15</f>
        <v>113.12226720647773</v>
      </c>
      <c r="N31" s="35">
        <f>230917/'[1]Three Statements'!$M$15</f>
        <v>81.280183034142908</v>
      </c>
      <c r="O31" s="38">
        <f>354771/'[1]Three Statements'!$N$15</f>
        <v>111.00035198873636</v>
      </c>
    </row>
  </sheetData>
  <hyperlinks>
    <hyperlink ref="J20" r:id="rId1" xr:uid="{00000000-0004-0000-0100-000000000000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A5DAE-7BF6-41C9-BDE8-B52417D246E3}">
  <dimension ref="B1"/>
  <sheetViews>
    <sheetView tabSelected="1" workbookViewId="0">
      <selection activeCell="F18" sqref="F18"/>
    </sheetView>
  </sheetViews>
  <sheetFormatPr defaultRowHeight="14.4"/>
  <cols>
    <col min="2" max="2" width="12" bestFit="1" customWidth="1"/>
  </cols>
  <sheetData>
    <row r="1" spans="2:2">
      <c r="B1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Schedules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BENJAMIN BAZINI</cp:lastModifiedBy>
  <dcterms:created xsi:type="dcterms:W3CDTF">2020-05-20T17:26:08Z</dcterms:created>
  <dcterms:modified xsi:type="dcterms:W3CDTF">2025-01-09T15:47:50Z</dcterms:modified>
</cp:coreProperties>
</file>